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an\_Remote_projects\ccp_WFC2022\"/>
    </mc:Choice>
  </mc:AlternateContent>
  <xr:revisionPtr revIDLastSave="0" documentId="13_ncr:1_{E1A3EACF-F39C-4B0B-A73C-E216DA20AB8D}" xr6:coauthVersionLast="47" xr6:coauthVersionMax="47" xr10:uidLastSave="{00000000-0000-0000-0000-000000000000}"/>
  <bookViews>
    <workbookView xWindow="-108" yWindow="-108" windowWidth="23256" windowHeight="12720" xr2:uid="{AC9E5FD3-5E3A-4F8A-99AD-11AB753AB151}"/>
  </bookViews>
  <sheets>
    <sheet name="CFL Calcs" sheetId="1" r:id="rId1"/>
    <sheet name="CBD calculator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4" i="2" l="1"/>
  <c r="D14" i="2"/>
  <c r="K38" i="1"/>
  <c r="Q38" i="1" s="1"/>
  <c r="K36" i="1"/>
  <c r="P36" i="1" s="1"/>
  <c r="P37" i="1"/>
  <c r="P35" i="1"/>
  <c r="E46" i="1"/>
  <c r="P38" i="1" l="1"/>
  <c r="Q36" i="1"/>
  <c r="I32" i="1" l="1"/>
  <c r="I31" i="1"/>
  <c r="D31" i="1" l="1"/>
  <c r="F31" i="1" s="1"/>
  <c r="D32" i="1"/>
  <c r="F32" i="1" s="1"/>
  <c r="I28" i="1"/>
  <c r="I27" i="1"/>
  <c r="I26" i="1"/>
  <c r="I25" i="1"/>
  <c r="I24" i="1"/>
  <c r="I23" i="1"/>
  <c r="I22" i="1"/>
  <c r="D25" i="1" l="1"/>
  <c r="F25" i="1" s="1"/>
  <c r="D27" i="1"/>
  <c r="F27" i="1" s="1"/>
  <c r="D22" i="1"/>
  <c r="F22" i="1" s="1"/>
  <c r="D23" i="1"/>
  <c r="F23" i="1" s="1"/>
  <c r="D26" i="1"/>
  <c r="F26" i="1" s="1"/>
  <c r="D28" i="1"/>
  <c r="F28" i="1" s="1"/>
  <c r="D24" i="1"/>
  <c r="F24" i="1" s="1"/>
  <c r="I9" i="1"/>
  <c r="I8" i="1"/>
  <c r="D8" i="1" s="1"/>
  <c r="F8" i="1" s="1"/>
  <c r="I37" i="1"/>
  <c r="E38" i="1" s="1"/>
  <c r="I35" i="1"/>
  <c r="E36" i="1" s="1"/>
  <c r="D9" i="1" l="1"/>
  <c r="F9" i="1" s="1"/>
  <c r="E35" i="1"/>
  <c r="D35" i="1"/>
  <c r="F35" i="1" s="1"/>
  <c r="E37" i="1"/>
  <c r="D37" i="1"/>
  <c r="F37" i="1" s="1"/>
  <c r="I14" i="1"/>
  <c r="I15" i="1"/>
  <c r="I16" i="1"/>
  <c r="I17" i="1"/>
  <c r="I18" i="1"/>
  <c r="I19" i="1"/>
  <c r="I13" i="1"/>
  <c r="D14" i="1" l="1"/>
  <c r="F14" i="1" s="1"/>
  <c r="D13" i="1"/>
  <c r="F13" i="1" s="1"/>
  <c r="D19" i="1"/>
  <c r="F19" i="1" s="1"/>
  <c r="D18" i="1"/>
  <c r="F18" i="1" s="1"/>
  <c r="D17" i="1"/>
  <c r="F17" i="1" s="1"/>
  <c r="D16" i="1"/>
  <c r="F16" i="1" s="1"/>
  <c r="D15" i="1"/>
  <c r="F15" i="1" s="1"/>
  <c r="P9" i="1"/>
  <c r="E9" i="1" s="1"/>
  <c r="R43" i="1"/>
  <c r="Q43" i="1"/>
  <c r="P43" i="1"/>
  <c r="I43" i="1" s="1"/>
  <c r="P8" i="1"/>
  <c r="E8" i="1" s="1"/>
  <c r="E43" i="1" l="1"/>
</calcChain>
</file>

<file path=xl/sharedStrings.xml><?xml version="1.0" encoding="utf-8"?>
<sst xmlns="http://schemas.openxmlformats.org/spreadsheetml/2006/main" count="95" uniqueCount="73">
  <si>
    <t>kg/tree</t>
  </si>
  <si>
    <t>kg/m^2</t>
  </si>
  <si>
    <t>DBH</t>
  </si>
  <si>
    <t>0-0.5</t>
  </si>
  <si>
    <t>White spruce</t>
  </si>
  <si>
    <t>Black spruce</t>
  </si>
  <si>
    <t>Engelmann sp</t>
  </si>
  <si>
    <t>Subalpine fir</t>
  </si>
  <si>
    <t>Western hemlock</t>
  </si>
  <si>
    <t>n</t>
  </si>
  <si>
    <t>Douglas-fir</t>
  </si>
  <si>
    <t>βf1</t>
  </si>
  <si>
    <t>βf2</t>
  </si>
  <si>
    <t>Lodgepole pine</t>
  </si>
  <si>
    <t>BC</t>
  </si>
  <si>
    <t>Roundwood diameter class (cm)</t>
  </si>
  <si>
    <t>cm</t>
  </si>
  <si>
    <t>Alexander et al. (2004)</t>
  </si>
  <si>
    <t>Johnson et al. (1990)</t>
  </si>
  <si>
    <t>Dead jack pine</t>
  </si>
  <si>
    <t>Density</t>
  </si>
  <si>
    <t>s/ha</t>
  </si>
  <si>
    <t>Biomass</t>
  </si>
  <si>
    <t>Dead trees</t>
  </si>
  <si>
    <t>Regressions</t>
  </si>
  <si>
    <t>Ung et al. (2008)</t>
  </si>
  <si>
    <t>DBH equations</t>
  </si>
  <si>
    <t>DBH &amp; height equations</t>
  </si>
  <si>
    <t>Ht</t>
  </si>
  <si>
    <t>m</t>
  </si>
  <si>
    <t>Lambert et al. (2005)</t>
  </si>
  <si>
    <t>Jack pine</t>
  </si>
  <si>
    <t>Balsam fir</t>
  </si>
  <si>
    <t>Dead pine strata; D=1.6 cm, Ht=~ 3m</t>
  </si>
  <si>
    <t>(0-1 cm classes)</t>
  </si>
  <si>
    <t>Foliar</t>
  </si>
  <si>
    <t>Dead jack pine consumption</t>
  </si>
  <si>
    <t>Live trees</t>
  </si>
  <si>
    <t xml:space="preserve"> --</t>
  </si>
  <si>
    <t>References:</t>
  </si>
  <si>
    <t>CFL foliage only</t>
  </si>
  <si>
    <t>CFL 2x foliage</t>
  </si>
  <si>
    <t>CFL foliage + 0-0.5</t>
  </si>
  <si>
    <t>cm rw; kg/m^2</t>
  </si>
  <si>
    <t>(fine wood only)</t>
  </si>
  <si>
    <t>(no equation)</t>
  </si>
  <si>
    <t>Foliage</t>
  </si>
  <si>
    <t>(Note -column F values include dead roundwood classes up to 1 cm)</t>
  </si>
  <si>
    <t>(Live plus dead roundwood classes &lt; 1 cm)</t>
  </si>
  <si>
    <t>Canada-wide</t>
  </si>
  <si>
    <t>NWT</t>
  </si>
  <si>
    <t>ON</t>
  </si>
  <si>
    <t>0.5-1</t>
  </si>
  <si>
    <t>1-3</t>
  </si>
  <si>
    <t>Canopy height</t>
  </si>
  <si>
    <t>Canopy Base Height</t>
  </si>
  <si>
    <t>Canopy bulk density:</t>
  </si>
  <si>
    <t>kg/m^3</t>
  </si>
  <si>
    <t xml:space="preserve">(Output from </t>
  </si>
  <si>
    <t>CFL calcs)</t>
  </si>
  <si>
    <t>Canopy depth</t>
  </si>
  <si>
    <t>CFL, whole stratum</t>
  </si>
  <si>
    <t>Stocks (1987), analyzed by Perrakis et al. (in prep.)</t>
  </si>
  <si>
    <r>
      <rPr>
        <b/>
        <sz val="11"/>
        <color theme="1"/>
        <rFont val="Calibri"/>
        <family val="2"/>
        <scheme val="minor"/>
      </rPr>
      <t>Alexander, M. E.</t>
    </r>
    <r>
      <rPr>
        <sz val="11"/>
        <color theme="1"/>
        <rFont val="Calibri"/>
        <family val="2"/>
        <scheme val="minor"/>
      </rPr>
      <t>, C. N. Stefner, J. A. Mason, B. J. Stocks, G. R. Hartley, M. E. Maffey, B. M. Wotton, S. W. Taylor, N. Lavoie, and G. N. Dalrymple. 2004. Characterizing the jack pine-black spruce fuel complex of the International Crown Fire Modelling Experiment (ICFME). Information Report NOR-X-393, Natural Resources Canada - Canadian Forest Service, Northern Forestry Centre, Edmonton, Alberta.</t>
    </r>
  </si>
  <si>
    <r>
      <rPr>
        <b/>
        <sz val="11"/>
        <color theme="1"/>
        <rFont val="Calibri"/>
        <family val="2"/>
        <scheme val="minor"/>
      </rPr>
      <t>Johnson, A. F.</t>
    </r>
    <r>
      <rPr>
        <sz val="11"/>
        <color theme="1"/>
        <rFont val="Calibri"/>
        <family val="2"/>
        <scheme val="minor"/>
      </rPr>
      <t>, P. M. Woodard, and S. J. Titus. 1990. Lodgepole pine and white spruce crown fuel weights predicted from diameter at breast height. The Forestry Chronicle 66:596-599.</t>
    </r>
  </si>
  <si>
    <r>
      <rPr>
        <b/>
        <sz val="11"/>
        <color theme="1"/>
        <rFont val="Calibri"/>
        <family val="2"/>
        <scheme val="minor"/>
      </rPr>
      <t>Lambert, M.</t>
    </r>
    <r>
      <rPr>
        <sz val="11"/>
        <color theme="1"/>
        <rFont val="Calibri"/>
        <family val="2"/>
        <scheme val="minor"/>
      </rPr>
      <t>, C. Ung, and F. Raulier. 2005. Canadian national tree aboveground biomass equations. Canadian Journal of Forest Research 35:1996-2018.</t>
    </r>
  </si>
  <si>
    <r>
      <rPr>
        <b/>
        <sz val="11"/>
        <color theme="1"/>
        <rFont val="Calibri"/>
        <family val="2"/>
        <scheme val="minor"/>
      </rPr>
      <t>Perrakis, D. D. B.</t>
    </r>
    <r>
      <rPr>
        <sz val="11"/>
        <color theme="1"/>
        <rFont val="Calibri"/>
        <family val="2"/>
        <scheme val="minor"/>
      </rPr>
      <t>, M. E. Alexander, M. G. Cruz, C. C. Hanes, S. W. Taylor, D. K. Thompson, and B. J. Stocks. 2022 (In prep.). Empirical reanalysis of crown fire initiation: working paper. Natural Resources Canada-Canadian Forest Service, Victoria, British Columbia, Canada.</t>
    </r>
  </si>
  <si>
    <r>
      <rPr>
        <b/>
        <sz val="11"/>
        <color theme="1"/>
        <rFont val="Calibri"/>
        <family val="2"/>
        <scheme val="minor"/>
      </rPr>
      <t>Stocks, B. J.</t>
    </r>
    <r>
      <rPr>
        <sz val="11"/>
        <color theme="1"/>
        <rFont val="Calibri"/>
        <family val="2"/>
        <scheme val="minor"/>
      </rPr>
      <t xml:space="preserve"> 1987. Fire behavior in immature jack pine. Canadian Journal of Forest Research 17:80-86.</t>
    </r>
  </si>
  <si>
    <r>
      <rPr>
        <b/>
        <sz val="11"/>
        <color theme="1"/>
        <rFont val="Calibri"/>
        <family val="2"/>
        <scheme val="minor"/>
      </rPr>
      <t>Ung, C.-H.</t>
    </r>
    <r>
      <rPr>
        <sz val="11"/>
        <color theme="1"/>
        <rFont val="Calibri"/>
        <family val="2"/>
        <scheme val="minor"/>
      </rPr>
      <t>, P. Bernier, and X.-J. Guo. 2008. Canadian national biomass equations: new parameter estimates that include British Columbia data. Canadian Journal of Forest Research 38:1123-1132.</t>
    </r>
  </si>
  <si>
    <t>Useful allometric equations for CFL calculations (ladder fuels)</t>
  </si>
  <si>
    <t>For CFL, make sure to add up values from all size classes in the stand or stratum, as desired.</t>
  </si>
  <si>
    <t>Simple CBD calculator</t>
  </si>
  <si>
    <r>
      <t xml:space="preserve">Cells with </t>
    </r>
    <r>
      <rPr>
        <b/>
        <sz val="11"/>
        <color rgb="FFC6E0B4"/>
        <rFont val="Calibri"/>
        <family val="2"/>
        <scheme val="minor"/>
      </rPr>
      <t>green highlights</t>
    </r>
    <r>
      <rPr>
        <sz val="11"/>
        <color theme="1"/>
        <rFont val="Calibri"/>
        <family val="2"/>
        <scheme val="minor"/>
      </rPr>
      <t xml:space="preserve"> are recommended CFL estimates for analysis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</si>
</sst>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  <font>
      <b/>
      <sz val="11"/>
      <color rgb="FFC6E0B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C6E0B4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0" fillId="0" borderId="1" xfId="0" applyBorder="1"/>
    <xf numFmtId="0" fontId="2" fillId="0" borderId="0" xfId="0" applyFont="1"/>
    <xf numFmtId="0" fontId="0" fillId="2" borderId="0" xfId="0" applyFill="1"/>
    <xf numFmtId="0" fontId="0" fillId="0" borderId="2" xfId="0" applyBorder="1" applyProtection="1">
      <protection locked="0"/>
    </xf>
    <xf numFmtId="0" fontId="0" fillId="3" borderId="0" xfId="0" applyFill="1"/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49" fontId="0" fillId="0" borderId="1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6E0B4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C82D61-5D0F-48AD-86BA-1664A5419CB9}">
  <dimension ref="A1:T59"/>
  <sheetViews>
    <sheetView showGridLines="0" tabSelected="1" workbookViewId="0">
      <selection activeCell="H17" sqref="H17"/>
    </sheetView>
  </sheetViews>
  <sheetFormatPr defaultRowHeight="14.4" x14ac:dyDescent="0.3"/>
  <cols>
    <col min="3" max="3" width="21.5546875" customWidth="1"/>
    <col min="4" max="4" width="16.88671875" customWidth="1"/>
    <col min="5" max="5" width="17.6640625" customWidth="1"/>
    <col min="6" max="6" width="14.21875" customWidth="1"/>
    <col min="13" max="13" width="10" customWidth="1"/>
  </cols>
  <sheetData>
    <row r="1" spans="1:20" x14ac:dyDescent="0.3">
      <c r="A1" s="3" t="s">
        <v>69</v>
      </c>
    </row>
    <row r="2" spans="1:20" x14ac:dyDescent="0.3">
      <c r="A2" t="s">
        <v>72</v>
      </c>
    </row>
    <row r="3" spans="1:20" x14ac:dyDescent="0.3">
      <c r="D3" s="7"/>
      <c r="E3" s="7"/>
      <c r="F3" s="7"/>
      <c r="G3" s="7"/>
      <c r="H3" s="7"/>
      <c r="I3" s="7" t="s">
        <v>35</v>
      </c>
      <c r="J3" s="7"/>
      <c r="K3" s="7"/>
      <c r="L3" s="7"/>
      <c r="M3" s="7" t="s">
        <v>46</v>
      </c>
      <c r="N3" s="7"/>
      <c r="O3" s="7"/>
      <c r="Q3" s="7" t="s">
        <v>15</v>
      </c>
      <c r="R3" s="7"/>
      <c r="S3" s="7"/>
      <c r="T3" s="7"/>
    </row>
    <row r="4" spans="1:20" x14ac:dyDescent="0.3">
      <c r="D4" s="7" t="s">
        <v>40</v>
      </c>
      <c r="E4" s="7" t="s">
        <v>42</v>
      </c>
      <c r="F4" s="7" t="s">
        <v>41</v>
      </c>
      <c r="G4" s="7"/>
      <c r="H4" s="7" t="s">
        <v>20</v>
      </c>
      <c r="I4" s="7" t="s">
        <v>22</v>
      </c>
      <c r="J4" s="7"/>
      <c r="K4" s="7" t="s">
        <v>2</v>
      </c>
      <c r="L4" s="7" t="s">
        <v>28</v>
      </c>
      <c r="M4" s="7" t="s">
        <v>24</v>
      </c>
      <c r="N4" s="7"/>
      <c r="O4" s="7"/>
      <c r="Q4" s="7" t="s">
        <v>0</v>
      </c>
      <c r="R4" s="7"/>
      <c r="S4" s="7"/>
      <c r="T4" s="7"/>
    </row>
    <row r="5" spans="1:20" x14ac:dyDescent="0.3">
      <c r="A5" s="2"/>
      <c r="B5" s="2" t="s">
        <v>37</v>
      </c>
      <c r="C5" s="2"/>
      <c r="D5" s="9" t="s">
        <v>1</v>
      </c>
      <c r="E5" s="9" t="s">
        <v>43</v>
      </c>
      <c r="F5" s="9" t="s">
        <v>1</v>
      </c>
      <c r="G5" s="9"/>
      <c r="H5" s="9" t="s">
        <v>21</v>
      </c>
      <c r="I5" s="9" t="s">
        <v>0</v>
      </c>
      <c r="J5" s="9"/>
      <c r="K5" s="9" t="s">
        <v>16</v>
      </c>
      <c r="L5" s="9" t="s">
        <v>29</v>
      </c>
      <c r="M5" s="10" t="s">
        <v>11</v>
      </c>
      <c r="N5" s="10" t="s">
        <v>12</v>
      </c>
      <c r="O5" s="10"/>
      <c r="P5" s="9" t="s">
        <v>3</v>
      </c>
      <c r="Q5" s="9" t="s">
        <v>52</v>
      </c>
      <c r="R5" s="11" t="s">
        <v>53</v>
      </c>
      <c r="S5" s="9"/>
      <c r="T5" s="9" t="s">
        <v>9</v>
      </c>
    </row>
    <row r="6" spans="1:20" x14ac:dyDescent="0.3">
      <c r="A6" t="s">
        <v>18</v>
      </c>
    </row>
    <row r="7" spans="1:20" x14ac:dyDescent="0.3">
      <c r="A7" t="s">
        <v>14</v>
      </c>
    </row>
    <row r="8" spans="1:20" x14ac:dyDescent="0.3">
      <c r="C8" t="s">
        <v>13</v>
      </c>
      <c r="D8">
        <f>I8*H8/10000</f>
        <v>7.9890138079501655E-2</v>
      </c>
      <c r="E8" s="4">
        <f>(I8+P8)*H8/10000</f>
        <v>0.17302591925014082</v>
      </c>
      <c r="F8">
        <f>D8*2</f>
        <v>0.15978027615900331</v>
      </c>
      <c r="H8" s="5">
        <v>5000</v>
      </c>
      <c r="I8">
        <f>M8*K8^N8</f>
        <v>0.15978027615900331</v>
      </c>
      <c r="K8" s="5">
        <v>2</v>
      </c>
      <c r="M8">
        <v>5.2499999999999998E-2</v>
      </c>
      <c r="N8">
        <v>1.6056999999999999</v>
      </c>
      <c r="P8">
        <f>0.0533*K8^1.8052</f>
        <v>0.18627156234127831</v>
      </c>
    </row>
    <row r="9" spans="1:20" x14ac:dyDescent="0.3">
      <c r="C9" t="s">
        <v>4</v>
      </c>
      <c r="D9">
        <f>I9*H9/10000</f>
        <v>0.70502414223282994</v>
      </c>
      <c r="E9" s="4">
        <f>(I9+P9)*H9/10000</f>
        <v>0.86648988196158294</v>
      </c>
      <c r="F9">
        <f>D9*2</f>
        <v>1.4100482844656599</v>
      </c>
      <c r="H9" s="5">
        <v>5000</v>
      </c>
      <c r="I9">
        <f>M9*K9^N9</f>
        <v>1.4100482844656599</v>
      </c>
      <c r="K9" s="5">
        <v>2</v>
      </c>
      <c r="M9">
        <v>0.63729999999999998</v>
      </c>
      <c r="N9">
        <v>1.1456999999999999</v>
      </c>
      <c r="P9">
        <f>0.0869*K9^1.8938</f>
        <v>0.322931479457506</v>
      </c>
    </row>
    <row r="11" spans="1:20" x14ac:dyDescent="0.3">
      <c r="A11" t="s">
        <v>25</v>
      </c>
    </row>
    <row r="12" spans="1:20" x14ac:dyDescent="0.3">
      <c r="A12" t="s">
        <v>49</v>
      </c>
    </row>
    <row r="13" spans="1:20" x14ac:dyDescent="0.3">
      <c r="A13" t="s">
        <v>26</v>
      </c>
      <c r="C13" t="s">
        <v>5</v>
      </c>
      <c r="D13">
        <f t="shared" ref="D13:D19" si="0">I13*H13/10000</f>
        <v>0.21854900078076844</v>
      </c>
      <c r="F13" s="4">
        <f t="shared" ref="F13:F19" si="1">D13*2</f>
        <v>0.43709800156153689</v>
      </c>
      <c r="H13" s="5">
        <v>5000</v>
      </c>
      <c r="I13">
        <f>M13*K13^N13</f>
        <v>0.43709800156153683</v>
      </c>
      <c r="K13" s="5">
        <v>2</v>
      </c>
      <c r="M13">
        <v>0.16309999999999999</v>
      </c>
      <c r="N13">
        <v>1.4221999999999999</v>
      </c>
      <c r="T13">
        <v>1591</v>
      </c>
    </row>
    <row r="14" spans="1:20" x14ac:dyDescent="0.3">
      <c r="C14" t="s">
        <v>4</v>
      </c>
      <c r="D14">
        <f t="shared" si="0"/>
        <v>0.21443163976640245</v>
      </c>
      <c r="F14" s="4">
        <f t="shared" si="1"/>
        <v>0.4288632795328049</v>
      </c>
      <c r="H14" s="5">
        <v>5000</v>
      </c>
      <c r="I14">
        <f t="shared" ref="I14:I19" si="2">M14*K14^N14</f>
        <v>0.4288632795328049</v>
      </c>
      <c r="K14" s="5">
        <v>2</v>
      </c>
      <c r="M14">
        <v>0.1515</v>
      </c>
      <c r="N14">
        <v>1.5012000000000001</v>
      </c>
      <c r="T14">
        <v>931</v>
      </c>
    </row>
    <row r="15" spans="1:20" x14ac:dyDescent="0.3">
      <c r="C15" t="s">
        <v>6</v>
      </c>
      <c r="D15">
        <f t="shared" si="0"/>
        <v>0.1190986849599268</v>
      </c>
      <c r="F15" s="4">
        <f t="shared" si="1"/>
        <v>0.2381973699198536</v>
      </c>
      <c r="H15" s="5">
        <v>5000</v>
      </c>
      <c r="I15">
        <f t="shared" si="2"/>
        <v>0.2381973699198536</v>
      </c>
      <c r="K15" s="5">
        <v>2</v>
      </c>
      <c r="M15">
        <v>6.83E-2</v>
      </c>
      <c r="N15">
        <v>1.8022</v>
      </c>
      <c r="T15">
        <v>26</v>
      </c>
    </row>
    <row r="16" spans="1:20" x14ac:dyDescent="0.3">
      <c r="C16" t="s">
        <v>7</v>
      </c>
      <c r="D16">
        <f t="shared" si="0"/>
        <v>8.3953095935877478E-2</v>
      </c>
      <c r="F16" s="4">
        <f t="shared" si="1"/>
        <v>0.16790619187175496</v>
      </c>
      <c r="H16" s="5">
        <v>5000</v>
      </c>
      <c r="I16">
        <f t="shared" si="2"/>
        <v>0.16790619187175496</v>
      </c>
      <c r="K16" s="5">
        <v>2</v>
      </c>
      <c r="M16">
        <v>4.1599999999999998E-2</v>
      </c>
      <c r="N16">
        <v>2.0129999999999999</v>
      </c>
      <c r="T16">
        <v>133</v>
      </c>
    </row>
    <row r="17" spans="1:20" x14ac:dyDescent="0.3">
      <c r="C17" t="s">
        <v>13</v>
      </c>
      <c r="D17">
        <f t="shared" si="0"/>
        <v>9.1208505643861765E-2</v>
      </c>
      <c r="F17" s="4">
        <f t="shared" si="1"/>
        <v>0.18241701128772353</v>
      </c>
      <c r="H17" s="5">
        <v>5000</v>
      </c>
      <c r="I17">
        <f t="shared" si="2"/>
        <v>0.18241701128772353</v>
      </c>
      <c r="K17" s="5">
        <v>2</v>
      </c>
      <c r="M17">
        <v>5.8400000000000001E-2</v>
      </c>
      <c r="N17">
        <v>1.6432</v>
      </c>
      <c r="T17">
        <v>280</v>
      </c>
    </row>
    <row r="18" spans="1:20" x14ac:dyDescent="0.3">
      <c r="C18" t="s">
        <v>10</v>
      </c>
      <c r="D18">
        <f t="shared" si="0"/>
        <v>0.19531094517399306</v>
      </c>
      <c r="F18" s="4">
        <f t="shared" si="1"/>
        <v>0.39062189034798611</v>
      </c>
      <c r="H18" s="5">
        <v>5000</v>
      </c>
      <c r="I18">
        <f t="shared" si="2"/>
        <v>0.39062189034798611</v>
      </c>
      <c r="K18" s="5">
        <v>2</v>
      </c>
      <c r="M18">
        <v>0.12330000000000001</v>
      </c>
      <c r="N18">
        <v>1.6636</v>
      </c>
      <c r="T18">
        <v>25</v>
      </c>
    </row>
    <row r="19" spans="1:20" x14ac:dyDescent="0.3">
      <c r="C19" t="s">
        <v>8</v>
      </c>
      <c r="D19">
        <f t="shared" si="0"/>
        <v>0.2264075626478986</v>
      </c>
      <c r="F19" s="4">
        <f t="shared" si="1"/>
        <v>0.45281512529579721</v>
      </c>
      <c r="H19" s="5">
        <v>5000</v>
      </c>
      <c r="I19">
        <f t="shared" si="2"/>
        <v>0.45281512529579721</v>
      </c>
      <c r="K19" s="5">
        <v>2</v>
      </c>
      <c r="M19">
        <v>0.1676</v>
      </c>
      <c r="N19">
        <v>1.4339</v>
      </c>
      <c r="T19">
        <v>48</v>
      </c>
    </row>
    <row r="21" spans="1:20" x14ac:dyDescent="0.3">
      <c r="A21" t="s">
        <v>27</v>
      </c>
    </row>
    <row r="22" spans="1:20" x14ac:dyDescent="0.3">
      <c r="C22" t="s">
        <v>5</v>
      </c>
      <c r="D22">
        <f t="shared" ref="D22:D28" si="3">I22*H22/10000</f>
        <v>9.4363161130493381E-2</v>
      </c>
      <c r="F22" s="4">
        <f t="shared" ref="F22:F28" si="4">D22*2</f>
        <v>0.18872632226098676</v>
      </c>
      <c r="H22" s="5">
        <v>5000</v>
      </c>
      <c r="I22">
        <f t="shared" ref="I22:I28" si="5">M22*K22^N22 * L22^O22</f>
        <v>0.18872632226098676</v>
      </c>
      <c r="K22" s="5">
        <v>2</v>
      </c>
      <c r="L22" s="5">
        <v>4</v>
      </c>
      <c r="M22">
        <v>0.20780000000000001</v>
      </c>
      <c r="N22">
        <v>2.5516999999999999</v>
      </c>
      <c r="O22">
        <v>-1.3452999999999999</v>
      </c>
      <c r="T22">
        <v>1591</v>
      </c>
    </row>
    <row r="23" spans="1:20" x14ac:dyDescent="0.3">
      <c r="C23" t="s">
        <v>4</v>
      </c>
      <c r="D23">
        <f t="shared" si="3"/>
        <v>0.10704515533003731</v>
      </c>
      <c r="F23" s="4">
        <f t="shared" si="4"/>
        <v>0.21409031066007461</v>
      </c>
      <c r="H23" s="5">
        <v>5000</v>
      </c>
      <c r="I23">
        <f t="shared" si="5"/>
        <v>0.21409031066007458</v>
      </c>
      <c r="K23" s="5">
        <v>2</v>
      </c>
      <c r="L23" s="5">
        <v>4</v>
      </c>
      <c r="M23">
        <v>0.1832</v>
      </c>
      <c r="N23">
        <v>2.4144000000000001</v>
      </c>
      <c r="O23">
        <v>-1.0948</v>
      </c>
      <c r="T23">
        <v>931</v>
      </c>
    </row>
    <row r="24" spans="1:20" x14ac:dyDescent="0.3">
      <c r="C24" t="s">
        <v>6</v>
      </c>
      <c r="D24">
        <f t="shared" si="3"/>
        <v>8.0391115524286683E-2</v>
      </c>
      <c r="F24" s="4">
        <f t="shared" si="4"/>
        <v>0.16078223104857337</v>
      </c>
      <c r="H24" s="5">
        <v>5000</v>
      </c>
      <c r="I24">
        <f t="shared" si="5"/>
        <v>0.16078223104857337</v>
      </c>
      <c r="K24" s="5">
        <v>2</v>
      </c>
      <c r="L24" s="5">
        <v>4</v>
      </c>
      <c r="M24">
        <v>8.5400000000000004E-2</v>
      </c>
      <c r="N24">
        <v>2.4388000000000001</v>
      </c>
      <c r="O24">
        <v>-0.76300000000000001</v>
      </c>
      <c r="T24">
        <v>26</v>
      </c>
    </row>
    <row r="25" spans="1:20" x14ac:dyDescent="0.3">
      <c r="C25" t="s">
        <v>7</v>
      </c>
      <c r="D25">
        <f t="shared" si="3"/>
        <v>3.6919055789291499E-2</v>
      </c>
      <c r="F25" s="4">
        <f t="shared" si="4"/>
        <v>7.3838111578582999E-2</v>
      </c>
      <c r="H25" s="5">
        <v>5000</v>
      </c>
      <c r="I25">
        <f t="shared" si="5"/>
        <v>7.3838111578582999E-2</v>
      </c>
      <c r="K25" s="5">
        <v>2</v>
      </c>
      <c r="L25" s="5">
        <v>4</v>
      </c>
      <c r="M25">
        <v>5.0900000000000001E-2</v>
      </c>
      <c r="N25">
        <v>2.9908999999999999</v>
      </c>
      <c r="O25">
        <v>-1.2271000000000001</v>
      </c>
      <c r="T25">
        <v>133</v>
      </c>
    </row>
    <row r="26" spans="1:20" x14ac:dyDescent="0.3">
      <c r="C26" t="s">
        <v>13</v>
      </c>
      <c r="D26">
        <f t="shared" si="3"/>
        <v>4.3759116132649198E-2</v>
      </c>
      <c r="F26" s="4">
        <f t="shared" si="4"/>
        <v>8.7518232265298396E-2</v>
      </c>
      <c r="H26" s="5">
        <v>5000</v>
      </c>
      <c r="I26">
        <f t="shared" si="5"/>
        <v>8.7518232265298396E-2</v>
      </c>
      <c r="K26" s="5">
        <v>2</v>
      </c>
      <c r="L26" s="5">
        <v>4</v>
      </c>
      <c r="M26">
        <v>7.6899999999999996E-2</v>
      </c>
      <c r="N26">
        <v>2.6833999999999998</v>
      </c>
      <c r="O26">
        <v>-1.2484</v>
      </c>
      <c r="T26">
        <v>280</v>
      </c>
    </row>
    <row r="27" spans="1:20" x14ac:dyDescent="0.3">
      <c r="C27" t="s">
        <v>10</v>
      </c>
      <c r="D27">
        <f t="shared" si="3"/>
        <v>9.1177878667989112E-2</v>
      </c>
      <c r="F27" s="4">
        <f t="shared" si="4"/>
        <v>0.18235575733597822</v>
      </c>
      <c r="H27" s="5">
        <v>5000</v>
      </c>
      <c r="I27">
        <f t="shared" si="5"/>
        <v>0.18235575733597822</v>
      </c>
      <c r="K27" s="5">
        <v>2</v>
      </c>
      <c r="L27" s="5">
        <v>4</v>
      </c>
      <c r="M27">
        <v>7.1800000000000003E-2</v>
      </c>
      <c r="N27">
        <v>2.2934999999999999</v>
      </c>
      <c r="O27">
        <v>-0.47439999999999999</v>
      </c>
      <c r="T27">
        <v>25</v>
      </c>
    </row>
    <row r="28" spans="1:20" x14ac:dyDescent="0.3">
      <c r="C28" t="s">
        <v>8</v>
      </c>
      <c r="D28">
        <f t="shared" si="3"/>
        <v>0.17744293659107088</v>
      </c>
      <c r="F28" s="6">
        <f t="shared" si="4"/>
        <v>0.35488587318214176</v>
      </c>
      <c r="H28" s="5">
        <v>5000</v>
      </c>
      <c r="I28">
        <f t="shared" si="5"/>
        <v>0.35488587318214176</v>
      </c>
      <c r="K28" s="5">
        <v>2</v>
      </c>
      <c r="L28" s="5">
        <v>4</v>
      </c>
      <c r="M28">
        <v>0.2656</v>
      </c>
      <c r="N28">
        <v>2.0106999999999999</v>
      </c>
      <c r="O28">
        <v>-0.79630000000000001</v>
      </c>
      <c r="T28">
        <v>48</v>
      </c>
    </row>
    <row r="30" spans="1:20" x14ac:dyDescent="0.3">
      <c r="A30" t="s">
        <v>30</v>
      </c>
    </row>
    <row r="31" spans="1:20" x14ac:dyDescent="0.3">
      <c r="A31" t="s">
        <v>49</v>
      </c>
      <c r="C31" t="s">
        <v>31</v>
      </c>
      <c r="D31">
        <f>I31*H31/10000</f>
        <v>6.4476353569165784E-2</v>
      </c>
      <c r="F31" s="4">
        <f>D31*2</f>
        <v>0.12895270713833157</v>
      </c>
      <c r="H31" s="5">
        <v>5000</v>
      </c>
      <c r="I31">
        <f t="shared" ref="I31" si="6">M31*K31^N31</f>
        <v>0.12895270713833157</v>
      </c>
      <c r="K31" s="5">
        <v>2</v>
      </c>
      <c r="M31">
        <v>3.8899999999999997E-2</v>
      </c>
      <c r="N31">
        <v>1.7290000000000001</v>
      </c>
      <c r="T31">
        <v>364</v>
      </c>
    </row>
    <row r="32" spans="1:20" x14ac:dyDescent="0.3">
      <c r="C32" t="s">
        <v>32</v>
      </c>
      <c r="D32">
        <f>I32*H32/10000</f>
        <v>7.5426623111782637E-2</v>
      </c>
      <c r="F32" s="4">
        <f>D32*2</f>
        <v>0.15085324622356527</v>
      </c>
      <c r="H32" s="5">
        <v>5000</v>
      </c>
      <c r="I32">
        <f t="shared" ref="I32" si="7">M32*K32^N32 * L32^O32</f>
        <v>0.15085324622356527</v>
      </c>
      <c r="K32" s="5">
        <v>2</v>
      </c>
      <c r="L32" s="5">
        <v>4</v>
      </c>
      <c r="M32">
        <v>0.1245</v>
      </c>
      <c r="N32">
        <v>2.5230000000000001</v>
      </c>
      <c r="O32">
        <v>-1.123</v>
      </c>
      <c r="T32">
        <v>639</v>
      </c>
    </row>
    <row r="33" spans="1:20" x14ac:dyDescent="0.3">
      <c r="A33" t="s">
        <v>17</v>
      </c>
      <c r="M33" s="1"/>
      <c r="N33" s="1"/>
      <c r="O33" s="1"/>
    </row>
    <row r="34" spans="1:20" x14ac:dyDescent="0.3">
      <c r="A34" t="s">
        <v>50</v>
      </c>
      <c r="C34" t="s">
        <v>47</v>
      </c>
    </row>
    <row r="35" spans="1:20" x14ac:dyDescent="0.3">
      <c r="C35" t="s">
        <v>31</v>
      </c>
      <c r="D35">
        <f>I35*H35/10000</f>
        <v>1.6060570469497944E-2</v>
      </c>
      <c r="E35">
        <f>(I35+P35)*H35/10000</f>
        <v>2.6227559762389989E-2</v>
      </c>
      <c r="F35">
        <f>D35*2</f>
        <v>3.2121140938995887E-2</v>
      </c>
      <c r="H35" s="5">
        <v>5000</v>
      </c>
      <c r="I35">
        <f>M35*K35^N35</f>
        <v>3.2121140938995887E-2</v>
      </c>
      <c r="K35" s="5">
        <v>2</v>
      </c>
      <c r="M35">
        <v>6.7200000000000003E-3</v>
      </c>
      <c r="N35">
        <v>2.2569900000000001</v>
      </c>
      <c r="P35">
        <f>0.00478*K35^2.08881</f>
        <v>2.0333978585784094E-2</v>
      </c>
      <c r="T35">
        <v>33</v>
      </c>
    </row>
    <row r="36" spans="1:20" x14ac:dyDescent="0.3">
      <c r="C36" t="s">
        <v>48</v>
      </c>
      <c r="E36" s="4">
        <f>(I35+P35+P36+Q36)*H35/10000</f>
        <v>4.5465303268376452E-2</v>
      </c>
      <c r="K36">
        <f>K35</f>
        <v>2</v>
      </c>
      <c r="P36">
        <f>0.00824*K36^1.88877</f>
        <v>3.0514315804952223E-2</v>
      </c>
      <c r="Q36">
        <f>0.00161*K36^2.30592</f>
        <v>7.9611712070207126E-3</v>
      </c>
    </row>
    <row r="37" spans="1:20" x14ac:dyDescent="0.3">
      <c r="C37" t="s">
        <v>5</v>
      </c>
      <c r="D37">
        <f>I37*H37/10000</f>
        <v>0.27802645793059377</v>
      </c>
      <c r="E37">
        <f>(I37+P37)*H37/10000</f>
        <v>0.42175057602044747</v>
      </c>
      <c r="F37">
        <f>D37*2</f>
        <v>0.55605291586118755</v>
      </c>
      <c r="H37" s="5">
        <v>5000</v>
      </c>
      <c r="I37">
        <f>M37*K37^N37</f>
        <v>0.55605291586118755</v>
      </c>
      <c r="K37" s="5">
        <v>2</v>
      </c>
      <c r="M37">
        <v>0.23316999999999999</v>
      </c>
      <c r="N37">
        <v>1.2538400000000001</v>
      </c>
      <c r="P37">
        <f>0.13267*K37^1.11546</f>
        <v>0.28744823617970727</v>
      </c>
      <c r="T37">
        <v>34</v>
      </c>
    </row>
    <row r="38" spans="1:20" x14ac:dyDescent="0.3">
      <c r="C38" t="s">
        <v>48</v>
      </c>
      <c r="E38" s="4">
        <f>(I37+P37+P38+Q38)*H37/10000</f>
        <v>0.48338758180095781</v>
      </c>
      <c r="K38">
        <f>K37</f>
        <v>2</v>
      </c>
      <c r="P38">
        <f>0.05553*K38^1.12281</f>
        <v>0.12092808149231221</v>
      </c>
      <c r="Q38">
        <f>0.000167*K38^3.81224</f>
        <v>2.3459300687087908E-3</v>
      </c>
    </row>
    <row r="40" spans="1:20" x14ac:dyDescent="0.3">
      <c r="A40" s="2"/>
      <c r="B40" s="2" t="s">
        <v>23</v>
      </c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2" spans="1:20" x14ac:dyDescent="0.3">
      <c r="A42" t="s">
        <v>17</v>
      </c>
    </row>
    <row r="43" spans="1:20" x14ac:dyDescent="0.3">
      <c r="A43" t="s">
        <v>50</v>
      </c>
      <c r="C43" t="s">
        <v>19</v>
      </c>
      <c r="E43" s="6">
        <f>I43*H43/10000</f>
        <v>3.6510036729191356E-2</v>
      </c>
      <c r="F43" t="s">
        <v>44</v>
      </c>
      <c r="H43" s="5">
        <v>5000</v>
      </c>
      <c r="I43">
        <f>P43+Q43</f>
        <v>7.3020073458382712E-2</v>
      </c>
      <c r="K43" s="5">
        <v>2</v>
      </c>
      <c r="M43" t="s">
        <v>38</v>
      </c>
      <c r="N43" t="s">
        <v>38</v>
      </c>
      <c r="P43">
        <f>0.02188*K43^1.63319</f>
        <v>6.787135134973081E-2</v>
      </c>
      <c r="Q43">
        <f>0.0006*K43^3.10118</f>
        <v>5.1487221086518988E-3</v>
      </c>
      <c r="R43">
        <f>0.00233*K43^2.08779</f>
        <v>9.9047458362892336E-3</v>
      </c>
      <c r="T43">
        <v>31</v>
      </c>
    </row>
    <row r="44" spans="1:20" x14ac:dyDescent="0.3">
      <c r="C44" t="s">
        <v>34</v>
      </c>
    </row>
    <row r="45" spans="1:20" x14ac:dyDescent="0.3">
      <c r="A45" t="s">
        <v>62</v>
      </c>
    </row>
    <row r="46" spans="1:20" x14ac:dyDescent="0.3">
      <c r="A46" t="s">
        <v>51</v>
      </c>
      <c r="C46" t="s">
        <v>36</v>
      </c>
      <c r="E46" s="6">
        <f>I46*H46/10000</f>
        <v>7.8E-2</v>
      </c>
      <c r="H46" s="5">
        <v>5000</v>
      </c>
      <c r="I46">
        <v>0.156</v>
      </c>
      <c r="J46" t="s">
        <v>45</v>
      </c>
      <c r="L46" t="s">
        <v>33</v>
      </c>
    </row>
    <row r="51" spans="1:17" x14ac:dyDescent="0.3">
      <c r="A51" s="2" t="s">
        <v>39</v>
      </c>
      <c r="B51" s="2"/>
    </row>
    <row r="52" spans="1:17" ht="14.4" customHeight="1" x14ac:dyDescent="0.3">
      <c r="A52" s="8" t="s">
        <v>63</v>
      </c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</row>
    <row r="53" spans="1:17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</row>
    <row r="54" spans="1:17" x14ac:dyDescent="0.3">
      <c r="A54" t="s">
        <v>64</v>
      </c>
    </row>
    <row r="55" spans="1:17" x14ac:dyDescent="0.3">
      <c r="A55" t="s">
        <v>65</v>
      </c>
    </row>
    <row r="56" spans="1:17" x14ac:dyDescent="0.3">
      <c r="A56" s="8" t="s">
        <v>66</v>
      </c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</row>
    <row r="57" spans="1:17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</row>
    <row r="58" spans="1:17" x14ac:dyDescent="0.3">
      <c r="A58" t="s">
        <v>67</v>
      </c>
    </row>
    <row r="59" spans="1:17" x14ac:dyDescent="0.3">
      <c r="A59" t="s">
        <v>68</v>
      </c>
    </row>
  </sheetData>
  <sheetProtection sheet="1" objects="1" scenarios="1" selectLockedCells="1"/>
  <mergeCells count="2">
    <mergeCell ref="A52:Q53"/>
    <mergeCell ref="A56:Q57"/>
  </mergeCells>
  <pageMargins left="0.7" right="0.7" top="0.75" bottom="0.75" header="0.3" footer="0.3"/>
  <pageSetup orientation="portrait" r:id="rId1"/>
  <ignoredErrors>
    <ignoredError sqref="E36:E37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0EB8F6-D7EF-4D87-9833-43AC4C4045CC}">
  <dimension ref="B1:I14"/>
  <sheetViews>
    <sheetView workbookViewId="0">
      <selection activeCell="D8" sqref="D8"/>
    </sheetView>
  </sheetViews>
  <sheetFormatPr defaultRowHeight="14.4" x14ac:dyDescent="0.3"/>
  <cols>
    <col min="5" max="5" width="10.21875" customWidth="1"/>
  </cols>
  <sheetData>
    <row r="1" spans="2:9" x14ac:dyDescent="0.3">
      <c r="D1" s="2" t="s">
        <v>71</v>
      </c>
      <c r="E1" s="2"/>
    </row>
    <row r="2" spans="2:9" x14ac:dyDescent="0.3">
      <c r="D2" t="s">
        <v>70</v>
      </c>
    </row>
    <row r="5" spans="2:9" x14ac:dyDescent="0.3">
      <c r="D5" t="s">
        <v>61</v>
      </c>
      <c r="F5" t="s">
        <v>54</v>
      </c>
      <c r="H5" t="s">
        <v>55</v>
      </c>
    </row>
    <row r="6" spans="2:9" x14ac:dyDescent="0.3">
      <c r="D6" s="2" t="s">
        <v>1</v>
      </c>
      <c r="E6" s="2"/>
      <c r="F6" s="2" t="s">
        <v>29</v>
      </c>
      <c r="G6" s="2"/>
      <c r="H6" s="2" t="s">
        <v>29</v>
      </c>
      <c r="I6" s="2"/>
    </row>
    <row r="7" spans="2:9" x14ac:dyDescent="0.3">
      <c r="B7" t="s">
        <v>58</v>
      </c>
    </row>
    <row r="8" spans="2:9" x14ac:dyDescent="0.3">
      <c r="B8" t="s">
        <v>59</v>
      </c>
      <c r="D8" s="5">
        <v>0.3</v>
      </c>
      <c r="F8" s="5">
        <v>7.3</v>
      </c>
      <c r="H8" s="5">
        <v>1</v>
      </c>
    </row>
    <row r="11" spans="2:9" x14ac:dyDescent="0.3">
      <c r="D11" t="s">
        <v>60</v>
      </c>
      <c r="F11" t="s">
        <v>56</v>
      </c>
    </row>
    <row r="12" spans="2:9" x14ac:dyDescent="0.3">
      <c r="D12" s="2" t="s">
        <v>29</v>
      </c>
      <c r="E12" s="2"/>
      <c r="F12" s="2" t="s">
        <v>57</v>
      </c>
    </row>
    <row r="14" spans="2:9" x14ac:dyDescent="0.3">
      <c r="D14">
        <f>F8-H8</f>
        <v>6.3</v>
      </c>
      <c r="F14" s="6">
        <f>D8/(F8-H8)</f>
        <v>4.7619047619047616E-2</v>
      </c>
    </row>
  </sheetData>
  <sheetProtection sheet="1" objects="1" scenarios="1" selectLockedCell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CFL Calcs</vt:lpstr>
      <vt:lpstr>CBD calculator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Perrakis, Daniel</dc:creator>
  <cp:lastModifiedBy>Perrakis, Daniel</cp:lastModifiedBy>
  <dcterms:created xsi:type="dcterms:W3CDTF">2022-10-14T22:49:24Z</dcterms:created>
  <dcterms:modified xsi:type="dcterms:W3CDTF">2022-11-07T19:42:02Z</dcterms:modified>
</cp:coreProperties>
</file>